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65"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<sst xmlns="http://schemas.openxmlformats.org/spreadsheetml/2006/main" count="49" uniqueCount="42">
  <si>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</si>
  <si>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</si>
  <si>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</si>
  <si>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</si>
  <si>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</si>
  <si>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</si>
  <si>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</si>
  <si>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</si>
  <si>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</si>
  <si>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</si>
  <si>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</si>
  <si>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</si>
  <si>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</si>
  <si>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</si>
  <si>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</si>
  <si>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</si>
  <si>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</si>
  <si>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</si>
  <si>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</si>
  <si>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</si>
  <si>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</si>
  <si>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</si>
  <si>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</si>
  <si>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</si>
  <si>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</si>
  <si>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</si>
  <si>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</si>
  <si>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r>
      <t xml:space="preserve">Explanation from smaller authority </t>
    </r>
    <r>
      <rPr>
        <b/>
        <u val="single"/>
        <sz val="11"/>
        <color indexed="8"/>
        <rFont val="Arial"/>
        <family val="2"/>
      </rPr>
      <t>(must include narrative and supporting figures)</t>
    </r>
  </si>
  <si>
    <t>(Please complete the highlighted boxes.)</t>
  </si>
  <si>
    <r>
      <t xml:space="preserve">Insert figures from Section 2 of the AGAR in all </t>
    </r>
    <r>
      <rPr>
        <b/>
        <u val="single"/>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</si>
  <si>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t>
    </r>
    <r>
      <rPr>
        <b/>
        <sz val="10"/>
        <color indexed="10"/>
        <rFont val="Arial"/>
        <family val="2"/>
      </rPr>
      <t>New from 2020/21 onwards:</t>
    </r>
    <r>
      <rPr>
        <sz val="10"/>
        <color indexed="8"/>
        <rFont val="Arial"/>
        <family val="2"/>
      </rPr>
      <t xml:space="preserve"> variances of £100,000 or more require explanation regardless of the % variation year on year;
• a breakdown of approved reserves on the next tab if the total reserves (Box 7) figure is more than twice the annual precept/rates &amp; levies value (Box 2).</t>
    </r>
  </si>
  <si>
    <t>2021/22</t>
  </si>
  <si>
    <t>2022/23</t>
  </si>
  <si>
    <t>The increase in payments were largely a result of three things:  pushing forward with redevelopment plans for the Pavilion, catching up on works that had been delayed during the Pandemic, and inflation. So, there is £11,503.94 of CIL funds that have been spent on plans to test the feasibility of the redevelopment project, and because of escalating costs of this project, latterly plans for refurbishment of the building. There were also increased amenity costs for tree work that had been delayed due to issues of finding a contractor in the year before, so these increased by £5658.40. Added to this, there has been a tree planting project for the Platinum Jubilee, which has increased tree planting costs by £976.33. A further increase in costs was for office equipment, partly due to supply issues the previous year, and partly due to a new member of staff, so new laptops needed to be purchased, pushing up costs by £1460.84. Money spent around the village also increased, because of maintenance delayed over the past few years, so siginficant repairs to notice boards, and replacement of one, has contributed to the increase in spending by £1373.65. As usage of facilities slowly returned to pre-pandemic levels, so things like cleaning costs increase, so  with the effects of inflation, they rose by £4917.40. The Council changed insurance company in 2022, which reduced some insurance costs, but because the building was revalued for insurance purposes, this increased by £856.58. Again, because of both the effects of the Pandemic on maintenance and usage, building maintenance costs increased greatly over the preceding year, by £2553.36. Other sports and pavilion costs increased by £1570.39 - a mixture of inflation and increased usage increasing things like electricity costs. Similarly other village hall costs increased by £846.18. Other categories of Council spending have increased by a modest £70.84. Against this increased expenditure, £4944.10 less was spent on the Neighbourhood Plan, and £2808 less was spent from un-earmarked reserves. With the extra payments, there is an increase in VAT on expenditure by £3023.31. Opening creditors were  £3169.11 lower than the previous year while closing creditors were £91.04  lower, leaving a total increase in payments of  £24090.57.</t>
  </si>
  <si>
    <t>Although the headline figure for receipts was £12382 lower, in fact the year was a much better year than the previous one, and showed a significant bounce back from the effects of the Pandemic. The reason for a reduction in receipts was that the Council received no CIL payments this year, whereas they had received £29623.50 the year before. Also the final part of the grant accompanying the asset transfer of East Park Farm was received the previous year, so a further reduction in receipts to the tune of £2027 occurred. Finally on the negative side, the Parish had a grant of £2767 for the Neighbourhood Plan in 2021-22, but no grant in 2022-23. So, as far as the general Council business was concerned, there was an increase in receipts of £4468.61, mainly accounted for by increased interest rates and more advertising in the Village magazine. The Village Hall's receipts increased by £13714.42 and East Park Farm/Pavilion by £4385.17. Opening debtors increased by £3844.63 and closing debtors increased by £3311.97.</t>
  </si>
  <si>
    <t>Muga Maintenance</t>
  </si>
  <si>
    <t>Streetlight Replacement</t>
  </si>
  <si>
    <t>Village Hall Repair Fund</t>
  </si>
  <si>
    <t>Refundable Deposits</t>
  </si>
  <si>
    <t>CIL</t>
  </si>
  <si>
    <t>Pavilion Maintenance Fund</t>
  </si>
  <si>
    <t>Charvil Parish Council increased the precept significantly to cover anticipated large rises in staff costs - their intention was to employ an administration/social media assistant, and there were also supposed to be increases in employers' national insurance contributions and increases in the employer's pension contributions. To cover these and other smaller cost increases, it was agreed to increase the precept significantly for the second year running. They were willing to cover some costs out of reserves, but not too much as the objective is to redevelop the East Park Farm Pavilion. It transpired that the Government only increased the National Insurance contributions for a short time, and the Council did not employ the extra staff member until February 2023, so staff costs did not rise as much as anticipated.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</si>
</sst>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1">
    <xf numFmtId="0" fontId="0" fillId="0" borderId="0" xfId="0" applyFont="1" applyAlignment="1">
      <alignment/>
    </xf>
    <xf numFmtId="0" fontId="5" fillId="0" borderId="0" xfId="0" applyFont="1" applyAlignment="1">
      <alignment/>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3"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4"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35" borderId="11" xfId="0" applyFont="1" applyFill="1" applyBorder="1" applyAlignment="1">
      <alignment wrapText="1"/>
    </xf>
    <xf numFmtId="0" fontId="49" fillId="35" borderId="11" xfId="0" applyFont="1" applyFill="1" applyBorder="1" applyAlignment="1">
      <alignment wrapText="1"/>
    </xf>
    <xf numFmtId="0" fontId="49" fillId="0" borderId="0" xfId="0" applyFont="1" applyFill="1" applyAlignment="1">
      <alignment vertical="center"/>
    </xf>
    <xf numFmtId="0" fontId="49" fillId="0" borderId="0" xfId="0" applyFont="1" applyFill="1" applyAlignment="1">
      <alignment/>
    </xf>
    <xf numFmtId="3" fontId="4" fillId="0" borderId="0" xfId="0" applyNumberFormat="1" applyFont="1" applyFill="1" applyBorder="1" applyAlignment="1" applyProtection="1">
      <alignment horizontal="center"/>
      <protection locked="0"/>
    </xf>
    <xf numFmtId="10" fontId="49" fillId="0" borderId="0" xfId="0" applyNumberFormat="1" applyFont="1" applyFill="1" applyAlignment="1">
      <alignment/>
    </xf>
    <xf numFmtId="0" fontId="49" fillId="0" borderId="0" xfId="0" applyFont="1" applyFill="1" applyAlignment="1">
      <alignment horizontal="center"/>
    </xf>
    <xf numFmtId="0" fontId="49" fillId="0" borderId="0" xfId="0" applyFont="1" applyBorder="1" applyAlignment="1">
      <alignment horizontal="center" wrapText="1"/>
    </xf>
    <xf numFmtId="0" fontId="51" fillId="36" borderId="11" xfId="0" applyFont="1" applyFill="1" applyBorder="1" applyAlignment="1">
      <alignment horizontal="center" wrapText="1"/>
    </xf>
    <xf numFmtId="0" fontId="49" fillId="0" borderId="0" xfId="0" applyFont="1" applyAlignment="1">
      <alignment wrapText="1"/>
    </xf>
    <xf numFmtId="0" fontId="49" fillId="0" borderId="0" xfId="0" applyFont="1" applyBorder="1" applyAlignment="1">
      <alignment horizontal="left" vertical="center"/>
    </xf>
    <xf numFmtId="0" fontId="49" fillId="0" borderId="0" xfId="0" applyFont="1" applyAlignment="1">
      <alignment wrapText="1"/>
    </xf>
    <xf numFmtId="0" fontId="49" fillId="0" borderId="0" xfId="0" applyFont="1" applyFill="1" applyBorder="1" applyAlignment="1">
      <alignment horizontal="left" vertical="top" wrapText="1"/>
    </xf>
    <xf numFmtId="0" fontId="51" fillId="0" borderId="0" xfId="0" applyFont="1" applyAlignment="1">
      <alignment/>
    </xf>
    <xf numFmtId="0" fontId="49" fillId="0" borderId="0" xfId="0" applyFont="1" applyFill="1" applyAlignment="1">
      <alignment wrapText="1"/>
    </xf>
    <xf numFmtId="0" fontId="52" fillId="0" borderId="0" xfId="0" applyFont="1" applyAlignment="1">
      <alignment/>
    </xf>
    <xf numFmtId="0" fontId="53" fillId="0" borderId="0" xfId="0" applyFont="1" applyAlignment="1">
      <alignment horizontal="left" vertical="center" indent="2"/>
    </xf>
    <xf numFmtId="0" fontId="47" fillId="0" borderId="0" xfId="0" applyFont="1" applyAlignment="1">
      <alignment/>
    </xf>
    <xf numFmtId="0" fontId="54" fillId="0" borderId="0" xfId="0" applyFont="1" applyAlignment="1">
      <alignment/>
    </xf>
    <xf numFmtId="0" fontId="0" fillId="0" borderId="12" xfId="0" applyBorder="1" applyAlignment="1">
      <alignment/>
    </xf>
    <xf numFmtId="0" fontId="0" fillId="37" borderId="0" xfId="0" applyFill="1" applyAlignment="1">
      <alignment/>
    </xf>
    <xf numFmtId="0" fontId="47" fillId="0" borderId="13" xfId="0" applyFont="1" applyBorder="1" applyAlignment="1">
      <alignment/>
    </xf>
    <xf numFmtId="0" fontId="49" fillId="38" borderId="0" xfId="0" applyFont="1" applyFill="1" applyAlignment="1">
      <alignment/>
    </xf>
    <xf numFmtId="3" fontId="4" fillId="38" borderId="0" xfId="0" applyNumberFormat="1" applyFont="1" applyFill="1" applyBorder="1" applyAlignment="1" applyProtection="1">
      <alignment horizontal="center"/>
      <protection locked="0"/>
    </xf>
    <xf numFmtId="0" fontId="51" fillId="0" borderId="0" xfId="0" applyFont="1" applyAlignment="1">
      <alignment horizontal="center"/>
    </xf>
    <xf numFmtId="0" fontId="51" fillId="0" borderId="0" xfId="0" applyFont="1" applyAlignment="1">
      <alignment horizontal="center" wrapText="1"/>
    </xf>
    <xf numFmtId="0" fontId="51" fillId="0" borderId="11" xfId="0" applyFont="1" applyBorder="1" applyAlignment="1">
      <alignment wrapText="1"/>
    </xf>
    <xf numFmtId="0" fontId="0" fillId="0" borderId="0" xfId="0" applyFont="1" applyAlignment="1">
      <alignment/>
    </xf>
    <xf numFmtId="3" fontId="4" fillId="39" borderId="10" xfId="0" applyNumberFormat="1" applyFont="1" applyFill="1" applyBorder="1" applyAlignment="1" applyProtection="1">
      <alignment horizontal="center"/>
      <protection/>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49" fillId="0" borderId="0" xfId="0" applyFont="1" applyAlignment="1">
      <alignmen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4" xfId="0" applyFont="1" applyBorder="1" applyAlignment="1">
      <alignment wrapText="1"/>
    </xf>
    <xf numFmtId="0" fontId="55" fillId="0" borderId="0" xfId="0" applyFont="1" applyAlignment="1">
      <alignment horizontal="left" vertical="center" wrapText="1"/>
    </xf>
    <xf numFmtId="0" fontId="55"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80" zoomScaleNormal="80" zoomScalePageLayoutView="0" workbookViewId="0" topLeftCell="A8">
      <selection activeCell="F30" sqref="F30"/>
    </sheetView>
  </sheetViews>
  <sheetFormatPr defaultColWidth="9.140625" defaultRowHeight="15"/>
  <cols>
    <col min="1" max="1" width="10.8515625" style="2" customWidth="1"/>
    <col min="2" max="2" width="9.140625" style="2" customWidth="1"/>
    <col min="3" max="3" width="32.57421875" style="2" customWidth="1"/>
    <col min="4" max="4" width="9.140625" style="2" customWidth="1"/>
    <col min="5" max="5" width="3.28125" style="2" customWidth="1"/>
    <col min="6" max="6" width="9.140625" style="2" customWidth="1"/>
    <col min="7" max="7" width="10.140625" style="2" customWidth="1"/>
    <col min="8" max="8" width="9.57421875" style="2" customWidth="1"/>
    <col min="9" max="11" width="9.140625" style="2" hidden="1" customWidth="1"/>
    <col min="12" max="12" width="13.28125" style="2" customWidth="1"/>
    <col min="13" max="13" width="50.421875" style="11" bestFit="1" customWidth="1"/>
    <col min="14" max="14" width="86.00390625" style="2" bestFit="1" customWidth="1"/>
    <col min="15" max="22" width="9.140625" style="16" customWidth="1"/>
    <col min="23" max="16384" width="9.140625" style="2" customWidth="1"/>
  </cols>
  <sheetData>
    <row r="1" spans="1:12" ht="18">
      <c r="A1" s="42" t="s">
        <v>16</v>
      </c>
      <c r="B1" s="43"/>
      <c r="C1" s="43"/>
      <c r="D1" s="43"/>
      <c r="E1" s="43"/>
      <c r="F1" s="43"/>
      <c r="G1" s="43"/>
      <c r="H1" s="43"/>
      <c r="I1" s="43"/>
      <c r="J1" s="43"/>
      <c r="K1" s="43"/>
      <c r="L1" s="8"/>
    </row>
    <row r="2" spans="1:13" ht="15.75">
      <c r="A2" s="28" t="s">
        <v>17</v>
      </c>
      <c r="B2" s="23"/>
      <c r="C2" s="36"/>
      <c r="D2" s="23"/>
      <c r="E2" s="23"/>
      <c r="F2" s="23"/>
      <c r="G2" s="23"/>
      <c r="H2" s="23"/>
      <c r="I2" s="23"/>
      <c r="J2" s="23"/>
      <c r="K2" s="23"/>
      <c r="L2" s="8"/>
      <c r="M2" s="24"/>
    </row>
    <row r="3" spans="1:12" ht="14.25" customHeight="1">
      <c r="A3" s="28" t="s">
        <v>18</v>
      </c>
      <c r="C3" s="35"/>
      <c r="L3" s="8"/>
    </row>
    <row r="4" ht="14.25">
      <c r="A4" s="1" t="s">
        <v>29</v>
      </c>
    </row>
    <row r="5" spans="1:13" ht="99" customHeight="1">
      <c r="A5" s="49" t="s">
        <v>30</v>
      </c>
      <c r="B5" s="50"/>
      <c r="C5" s="50"/>
      <c r="D5" s="50"/>
      <c r="E5" s="50"/>
      <c r="F5" s="50"/>
      <c r="G5" s="50"/>
      <c r="H5" s="50"/>
      <c r="M5" s="24"/>
    </row>
    <row r="6" ht="14.25">
      <c r="A6" s="29"/>
    </row>
    <row r="7" spans="1:14" ht="15">
      <c r="A7" s="29"/>
      <c r="D7" s="3"/>
      <c r="F7" s="3"/>
      <c r="N7" s="26"/>
    </row>
    <row r="8" spans="4:14" ht="44.25">
      <c r="D8" s="37" t="s">
        <v>31</v>
      </c>
      <c r="E8" s="26"/>
      <c r="F8" s="37" t="s">
        <v>32</v>
      </c>
      <c r="G8" s="37" t="s">
        <v>0</v>
      </c>
      <c r="H8" s="37" t="s">
        <v>0</v>
      </c>
      <c r="I8" s="37"/>
      <c r="J8" s="37"/>
      <c r="K8" s="37"/>
      <c r="L8" s="38" t="s">
        <v>15</v>
      </c>
      <c r="M8" s="9" t="s">
        <v>10</v>
      </c>
      <c r="N8" s="39" t="s">
        <v>27</v>
      </c>
    </row>
    <row r="9" spans="4:14" ht="15">
      <c r="D9" s="37" t="s">
        <v>1</v>
      </c>
      <c r="E9" s="26"/>
      <c r="F9" s="37" t="s">
        <v>1</v>
      </c>
      <c r="G9" s="37" t="s">
        <v>1</v>
      </c>
      <c r="H9" s="37" t="s">
        <v>14</v>
      </c>
      <c r="I9" s="37"/>
      <c r="J9" s="37"/>
      <c r="K9" s="26"/>
      <c r="L9" s="26"/>
      <c r="N9" s="22"/>
    </row>
    <row r="10" spans="4:14" ht="15" thickBot="1">
      <c r="D10" s="3"/>
      <c r="E10" s="3"/>
      <c r="N10" s="22"/>
    </row>
    <row r="11" spans="1:14" ht="44.25" customHeight="1" thickBot="1">
      <c r="A11" s="45" t="s">
        <v>2</v>
      </c>
      <c r="B11" s="45"/>
      <c r="C11" s="45"/>
      <c r="D11" s="7">
        <v>355678</v>
      </c>
      <c r="F11" s="7">
        <v>383744</v>
      </c>
      <c r="G11" s="4"/>
      <c r="M11" s="9"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2"/>
    </row>
    <row r="12" spans="4:14" ht="15" thickBot="1">
      <c r="D12" s="4"/>
      <c r="F12" s="4"/>
      <c r="N12" s="22"/>
    </row>
    <row r="13" spans="1:14" ht="31.5" customHeight="1" thickBot="1">
      <c r="A13" s="46" t="s">
        <v>20</v>
      </c>
      <c r="B13" s="47"/>
      <c r="C13" s="48"/>
      <c r="D13" s="7">
        <v>69118</v>
      </c>
      <c r="F13" s="7">
        <v>87059</v>
      </c>
      <c r="G13" s="4">
        <f>F13-D13</f>
        <v>17941</v>
      </c>
      <c r="H13" s="5">
        <f>IF((D13&gt;F13),(D13-F13)/D13,IF(D13&lt;F13,-(D13-F13)/D13,IF(D13=F13,0)))</f>
        <v>0.2595705894267774</v>
      </c>
      <c r="I13" s="2">
        <f>IF(D13-F13&lt;200,0,IF(D13-F13&gt;200,1,IF(D13-F13=200,1)))</f>
        <v>0</v>
      </c>
      <c r="J13" s="2">
        <f>IF(F13-D13&lt;200,0,IF(F13-D13&gt;200,1,IF(F13-D13=200,1)))</f>
        <v>1</v>
      </c>
      <c r="K13" s="3">
        <f>IF(H13&lt;0.15,0,IF(H13&gt;0.15,1,IF(H13=0.15,1)))</f>
        <v>1</v>
      </c>
      <c r="L13" s="3" t="str">
        <f>IF((H13&lt;15%)*AND(G13&lt;100000)*OR(G13&gt;-100000),"NO","YES")</f>
        <v>YES</v>
      </c>
      <c r="M13" s="9" t="str">
        <f>IF((L13="YES")*AND(I13+J13&lt;1),"Explanation not required, difference less than £200"," ")</f>
        <v> </v>
      </c>
      <c r="N13" s="12" t="s">
        <v>41</v>
      </c>
    </row>
    <row r="14" spans="4:14" ht="15" thickBot="1">
      <c r="D14" s="4"/>
      <c r="F14" s="4"/>
      <c r="G14" s="4"/>
      <c r="H14" s="5"/>
      <c r="K14" s="3"/>
      <c r="L14" s="3"/>
      <c r="N14" s="22"/>
    </row>
    <row r="15" spans="1:14" ht="19.5" customHeight="1" thickBot="1">
      <c r="A15" s="44" t="s">
        <v>3</v>
      </c>
      <c r="B15" s="44"/>
      <c r="C15" s="44"/>
      <c r="D15" s="7">
        <v>77675</v>
      </c>
      <c r="F15" s="7">
        <v>65293</v>
      </c>
      <c r="G15" s="4">
        <f>F15-D15</f>
        <v>-12382</v>
      </c>
      <c r="H15" s="5">
        <f>IF((D15&gt;F15),(D15-F15)/D15,IF(D15&lt;F15,-(D15-F15)/D15,IF(D15=F15,0)))</f>
        <v>0.15940778886385581</v>
      </c>
      <c r="I15" s="2">
        <f>IF(D15-F15&lt;200,0,IF(D15-F15&gt;200,1,IF(D15-F15=200,1)))</f>
        <v>1</v>
      </c>
      <c r="J15" s="2">
        <f>IF(F15-D15&lt;200,0,IF(F15-D15&gt;200,1,IF(F15-D15=200,1)))</f>
        <v>0</v>
      </c>
      <c r="K15" s="3">
        <f>IF(H15&lt;0.15,0,IF(H15&gt;0.15,1,IF(H15=0.15,1)))</f>
        <v>1</v>
      </c>
      <c r="L15" s="3" t="str">
        <f>IF((H15&lt;15%)*AND(G15&lt;100000)*OR(G15&gt;-100000),"NO","YES")</f>
        <v>YES</v>
      </c>
      <c r="M15" s="9" t="str">
        <f>IF((L15="YES")*AND(I15+J15&lt;1),"Explanation not required, difference less than £200"," ")</f>
        <v> </v>
      </c>
      <c r="N15" s="12" t="s">
        <v>34</v>
      </c>
    </row>
    <row r="16" spans="4:14" ht="15" thickBot="1">
      <c r="D16" s="4"/>
      <c r="F16" s="4"/>
      <c r="G16" s="4"/>
      <c r="H16" s="5"/>
      <c r="K16" s="3"/>
      <c r="L16" s="3"/>
      <c r="N16" s="22"/>
    </row>
    <row r="17" spans="1:14" ht="19.5" customHeight="1" thickBot="1">
      <c r="A17" s="44" t="s">
        <v>4</v>
      </c>
      <c r="B17" s="44"/>
      <c r="C17" s="44"/>
      <c r="D17" s="7">
        <v>60706</v>
      </c>
      <c r="F17" s="7">
        <v>65140</v>
      </c>
      <c r="G17" s="4">
        <f>F17-D17</f>
        <v>4434</v>
      </c>
      <c r="H17" s="5">
        <f>IF((D17&gt;F17),(D17-F17)/D17,IF(D17&lt;F17,-(D17-F17)/D17,IF(D17=F17,0)))</f>
        <v>0.07304055612295325</v>
      </c>
      <c r="I17" s="2">
        <f>IF(D17-F17&lt;200,0,IF(D17-F17&gt;200,1,IF(D17-F17=200,1)))</f>
        <v>0</v>
      </c>
      <c r="J17" s="2">
        <f>IF(F17-D17&lt;200,0,IF(F17-D17&gt;200,1,IF(F17-D17=200,1)))</f>
        <v>1</v>
      </c>
      <c r="K17" s="3">
        <f>IF(H17&lt;0.15,0,IF(H17&gt;0.15,1,IF(H17=0.15,1)))</f>
        <v>0</v>
      </c>
      <c r="L17" s="3" t="str">
        <f>IF((H17&lt;15%)*AND(G17&lt;100000)*OR(G17&gt;-100000),"NO","YES")</f>
        <v>NO</v>
      </c>
      <c r="M17" s="9" t="str">
        <f>IF((L17="YES")*AND(I17+J17&lt;1),"Explanation not required, difference less than £200"," ")</f>
        <v> </v>
      </c>
      <c r="N17" s="12"/>
    </row>
    <row r="18" spans="4:14" ht="15" thickBot="1">
      <c r="D18" s="4"/>
      <c r="F18" s="4"/>
      <c r="G18" s="4"/>
      <c r="H18" s="5"/>
      <c r="K18" s="3"/>
      <c r="L18" s="3"/>
      <c r="N18" s="22"/>
    </row>
    <row r="19" spans="1:14" ht="19.5" customHeight="1" thickBot="1">
      <c r="A19" s="44" t="s">
        <v>7</v>
      </c>
      <c r="B19" s="44"/>
      <c r="C19" s="44"/>
      <c r="D19" s="7">
        <v>0</v>
      </c>
      <c r="F19" s="7">
        <v>0</v>
      </c>
      <c r="G19" s="4">
        <f>F19-D19</f>
        <v>0</v>
      </c>
      <c r="H19" s="5">
        <f>IF((D19&gt;F19),(D19-F19)/D19,IF(D19&lt;F19,-(D19-F19)/D19,IF(D19=F19,0)))</f>
        <v>0</v>
      </c>
      <c r="I19" s="2">
        <f>IF(D19-F19&lt;200,0,IF(D19-F19&gt;200,1,IF(D19-F19=200,1)))</f>
        <v>0</v>
      </c>
      <c r="J19" s="2">
        <f>IF(F19-D19&lt;200,0,IF(F19-D19&gt;200,1,IF(F19-D19=200,1)))</f>
        <v>0</v>
      </c>
      <c r="K19" s="3">
        <f>IF(H19&lt;0.15,0,IF(H19&gt;0.15,1,IF(H19=0.15,1)))</f>
        <v>0</v>
      </c>
      <c r="L19" s="3" t="str">
        <f>IF((H19&lt;15%)*AND(G19&lt;100000)*OR(G19&gt;-100000),"NO","YES")</f>
        <v>NO</v>
      </c>
      <c r="M19" s="9" t="str">
        <f>IF((L19="YES")*AND(I19+J19&lt;1),"Explanation not required, difference less than £200"," ")</f>
        <v> </v>
      </c>
      <c r="N19" s="12"/>
    </row>
    <row r="20" spans="4:14" ht="15" thickBot="1">
      <c r="D20" s="4"/>
      <c r="F20" s="4"/>
      <c r="G20" s="4"/>
      <c r="H20" s="5"/>
      <c r="K20" s="3"/>
      <c r="L20" s="3"/>
      <c r="N20" s="22"/>
    </row>
    <row r="21" spans="1:14" ht="19.5" customHeight="1" thickBot="1">
      <c r="A21" s="44" t="s">
        <v>21</v>
      </c>
      <c r="B21" s="44"/>
      <c r="C21" s="44"/>
      <c r="D21" s="7">
        <v>58021</v>
      </c>
      <c r="F21" s="7">
        <v>82112</v>
      </c>
      <c r="G21" s="4">
        <f>F21-D21</f>
        <v>24091</v>
      </c>
      <c r="H21" s="5">
        <f>IF((D21&gt;F21),(D21-F21)/D21,IF(D21&lt;F21,-(D21-F21)/D21,IF(D21=F21,0)))</f>
        <v>0.41521173368263214</v>
      </c>
      <c r="I21" s="2">
        <f>IF(D21-F21&lt;200,0,IF(D21-F21&gt;200,1,IF(D21-F21=200,1)))</f>
        <v>0</v>
      </c>
      <c r="J21" s="2">
        <f>IF(F21-D21&lt;200,0,IF(F21-D21&gt;200,1,IF(F21-D21=200,1)))</f>
        <v>1</v>
      </c>
      <c r="K21" s="3">
        <f>IF(H21&lt;0.15,0,IF(H21&gt;0.15,1,IF(H21=0.15,1)))</f>
        <v>1</v>
      </c>
      <c r="L21" s="3" t="str">
        <f>IF((H21&lt;15%)*AND(G21&lt;100000)*OR(G21&gt;-100000),"NO","YES")</f>
        <v>YES</v>
      </c>
      <c r="M21" s="9" t="str">
        <f>IF((L21="YES")*AND(I21+J21&lt;1),"Explanation not required, difference less than £200"," ")</f>
        <v> </v>
      </c>
      <c r="N21" s="12" t="s">
        <v>33</v>
      </c>
    </row>
    <row r="22" spans="4:14" ht="15" thickBot="1">
      <c r="D22" s="4"/>
      <c r="F22" s="4"/>
      <c r="G22" s="4"/>
      <c r="H22" s="5"/>
      <c r="K22" s="3"/>
      <c r="L22" s="3"/>
      <c r="N22" s="22"/>
    </row>
    <row r="23" spans="1:14" ht="19.5" customHeight="1" thickBot="1">
      <c r="A23" s="6" t="s">
        <v>5</v>
      </c>
      <c r="D23" s="41">
        <f>D11+D13+D15-D17-D19-D21</f>
        <v>383744</v>
      </c>
      <c r="F23" s="41">
        <f>F11+F13+F15-F17-F19-F21</f>
        <v>388844</v>
      </c>
      <c r="G23" s="4"/>
      <c r="H23" s="5"/>
      <c r="K23" s="3"/>
      <c r="L23" s="3"/>
      <c r="M23" s="13" t="s">
        <v>12</v>
      </c>
      <c r="N23" s="22"/>
    </row>
    <row r="24" spans="1:14" s="16" customFormat="1" ht="60">
      <c r="A24" s="15"/>
      <c r="D24" s="17"/>
      <c r="E24" s="2"/>
      <c r="F24" s="17"/>
      <c r="G24" s="4"/>
      <c r="H24" s="18"/>
      <c r="K24" s="19"/>
      <c r="L24" s="20" t="str">
        <f>IF(F23&gt;(2*F13),"YES","NO")</f>
        <v>YES</v>
      </c>
      <c r="M24" s="21" t="str">
        <f>IF(F23&gt;(2*F13),"EXPLANATION REQUIRED ON RESERVES TAB AS TO WHY CARRY FORWARD RESERVES ARE GREATER THAN TWICE INCOME FROM LOCAL TAXATION/LEVIES"," ")</f>
        <v>EXPLANATION REQUIRED ON RESERVES TAB AS TO WHY CARRY FORWARD RESERVES ARE GREATER THAN TWICE INCOME FROM LOCAL TAXATION/LEVIES</v>
      </c>
      <c r="N24" s="27"/>
    </row>
    <row r="25" spans="4:14" ht="15" thickBot="1">
      <c r="D25" s="4"/>
      <c r="F25" s="4"/>
      <c r="G25" s="4"/>
      <c r="H25" s="5"/>
      <c r="K25" s="3"/>
      <c r="L25" s="3"/>
      <c r="N25" s="22"/>
    </row>
    <row r="26" spans="1:14" ht="19.5" customHeight="1" thickBot="1">
      <c r="A26" s="44" t="s">
        <v>9</v>
      </c>
      <c r="B26" s="44"/>
      <c r="C26" s="44"/>
      <c r="D26" s="7">
        <v>358092</v>
      </c>
      <c r="F26" s="7">
        <v>356800</v>
      </c>
      <c r="G26" s="4"/>
      <c r="H26" s="5"/>
      <c r="K26" s="3"/>
      <c r="L26" s="3"/>
      <c r="M26" s="14" t="s">
        <v>12</v>
      </c>
      <c r="N26" s="22"/>
    </row>
    <row r="27" spans="4:14" ht="15" thickBot="1">
      <c r="D27" s="4"/>
      <c r="F27" s="4"/>
      <c r="G27" s="4"/>
      <c r="H27" s="5"/>
      <c r="K27" s="3"/>
      <c r="L27" s="3"/>
      <c r="N27" s="22"/>
    </row>
    <row r="28" spans="1:14" ht="19.5" customHeight="1" thickBot="1">
      <c r="A28" s="44" t="s">
        <v>8</v>
      </c>
      <c r="B28" s="44"/>
      <c r="C28" s="44"/>
      <c r="D28" s="7">
        <v>706348</v>
      </c>
      <c r="F28" s="7">
        <v>711914</v>
      </c>
      <c r="G28" s="4">
        <f>F28-D28</f>
        <v>5566</v>
      </c>
      <c r="H28" s="5">
        <f>IF((D28&gt;F28),(D28-F28)/D28,IF(D28&lt;F28,-(D28-F28)/D28,IF(D28=F28,0)))</f>
        <v>0.00787996851410353</v>
      </c>
      <c r="I28" s="2">
        <f>IF(D28-F28&lt;200,0,IF(D28-F28&gt;200,1,IF(D28-F28=200,1)))</f>
        <v>0</v>
      </c>
      <c r="J28" s="2">
        <f>IF(F28-D28&lt;200,0,IF(F28-D28&gt;200,1,IF(F28-D28=200,1)))</f>
        <v>1</v>
      </c>
      <c r="K28" s="3">
        <f>IF(H28&lt;0.15,0,IF(H28&gt;0.15,1,IF(H28=0.15,1)))</f>
        <v>0</v>
      </c>
      <c r="L28" s="3" t="str">
        <f>IF((H28&lt;15%)*AND(G28&lt;100000)*OR(G28&gt;-100000),"NO","YES")</f>
        <v>NO</v>
      </c>
      <c r="M28" s="9" t="str">
        <f>IF((L28="YES")*AND(I28+J28&lt;1),"Explanation not required, difference less than £200"," ")</f>
        <v> </v>
      </c>
      <c r="N28" s="12"/>
    </row>
    <row r="29" spans="4:14" ht="15" thickBot="1">
      <c r="D29" s="4"/>
      <c r="F29" s="4"/>
      <c r="G29" s="4"/>
      <c r="H29" s="5"/>
      <c r="K29" s="3"/>
      <c r="L29" s="3"/>
      <c r="N29" s="22"/>
    </row>
    <row r="30" spans="1:14" ht="19.5" customHeight="1" thickBot="1">
      <c r="A30" s="44" t="s">
        <v>6</v>
      </c>
      <c r="B30" s="44"/>
      <c r="C30" s="44"/>
      <c r="D30" s="7">
        <v>0</v>
      </c>
      <c r="F30" s="7">
        <v>0</v>
      </c>
      <c r="G30" s="4">
        <f>F30-D30</f>
        <v>0</v>
      </c>
      <c r="H30" s="5">
        <f>IF((D30&gt;F30),(D30-F30)/D30,IF(D30&lt;F30,-(D30-F30)/D30,IF(D30=F30,0)))</f>
        <v>0</v>
      </c>
      <c r="I30" s="2">
        <f>IF(D30-F30&lt;100,0,IF(D30-F30&gt;100,1,IF(D30-F30=100,1)))</f>
        <v>0</v>
      </c>
      <c r="J30" s="2">
        <f>IF(F30-D30&lt;100,0,IF(F30-D30&gt;100,1,IF(F30-D30=100,1)))</f>
        <v>0</v>
      </c>
      <c r="K30" s="3">
        <f>IF(H30&lt;0.15,0,IF(H30&gt;0.15,1,IF(H30=0.15,1)))</f>
        <v>0</v>
      </c>
      <c r="L30" s="3" t="str">
        <f>IF((H30&lt;15%)*AND(G30&lt;100000)*OR(G30&gt;-100000),"NO","YES")</f>
        <v>NO</v>
      </c>
      <c r="M30" s="9" t="str">
        <f>IF((L30="YES")*AND(I30+J30&lt;1),"Explanation not required, difference less than £200"," ")</f>
        <v> </v>
      </c>
      <c r="N30" s="12"/>
    </row>
    <row r="31" spans="8:14" ht="14.25">
      <c r="H31" s="5"/>
      <c r="K31" s="3"/>
      <c r="L31" s="3"/>
      <c r="N31" s="22"/>
    </row>
    <row r="32" ht="15">
      <c r="C32" s="10" t="s">
        <v>11</v>
      </c>
    </row>
    <row r="33" spans="15:22" ht="15" customHeight="1">
      <c r="O33" s="25"/>
      <c r="P33" s="25"/>
      <c r="Q33" s="25"/>
      <c r="R33" s="25"/>
      <c r="S33" s="25"/>
      <c r="T33" s="25"/>
      <c r="U33" s="25"/>
      <c r="V33" s="25"/>
    </row>
    <row r="34" spans="3:22" ht="15">
      <c r="C34" s="10" t="s">
        <v>13</v>
      </c>
      <c r="N34" s="25"/>
      <c r="O34" s="25"/>
      <c r="P34" s="25"/>
      <c r="Q34" s="25"/>
      <c r="R34" s="25"/>
      <c r="S34" s="25"/>
      <c r="T34" s="25"/>
      <c r="U34" s="25"/>
      <c r="V34" s="25"/>
    </row>
    <row r="36" ht="15">
      <c r="C36" s="10" t="s">
        <v>19</v>
      </c>
    </row>
  </sheetData>
  <sheetProtection/>
  <mergeCells count="11">
    <mergeCell ref="A21:C21"/>
    <mergeCell ref="A1:K1"/>
    <mergeCell ref="A26:C26"/>
    <mergeCell ref="A28:C28"/>
    <mergeCell ref="A30:C30"/>
    <mergeCell ref="A11:C11"/>
    <mergeCell ref="A13:C13"/>
    <mergeCell ref="A15:C15"/>
    <mergeCell ref="A17:C17"/>
    <mergeCell ref="A5:H5"/>
    <mergeCell ref="A19:C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F17"/>
  <sheetViews>
    <sheetView zoomScalePageLayoutView="0" workbookViewId="0" topLeftCell="A1">
      <selection activeCell="F17" sqref="F17"/>
    </sheetView>
  </sheetViews>
  <sheetFormatPr defaultColWidth="9.140625" defaultRowHeight="15"/>
  <cols>
    <col min="3" max="4" width="16.140625" style="0" customWidth="1"/>
  </cols>
  <sheetData>
    <row r="1" ht="15.75" customHeight="1">
      <c r="A1" s="31" t="s">
        <v>22</v>
      </c>
    </row>
    <row r="2" ht="15.75" customHeight="1">
      <c r="A2" s="40" t="s">
        <v>28</v>
      </c>
    </row>
    <row r="3" ht="15">
      <c r="A3" t="s">
        <v>23</v>
      </c>
    </row>
    <row r="5" spans="4:6" ht="15">
      <c r="D5" s="30" t="s">
        <v>1</v>
      </c>
      <c r="E5" s="30" t="s">
        <v>1</v>
      </c>
      <c r="F5" s="30" t="s">
        <v>1</v>
      </c>
    </row>
    <row r="6" ht="15">
      <c r="A6" s="30" t="s">
        <v>24</v>
      </c>
    </row>
    <row r="7" spans="2:4" ht="15">
      <c r="B7" s="33" t="s">
        <v>35</v>
      </c>
      <c r="D7" s="33">
        <v>8968.49</v>
      </c>
    </row>
    <row r="8" spans="2:4" ht="15" customHeight="1">
      <c r="B8" s="33" t="s">
        <v>36</v>
      </c>
      <c r="D8" s="33">
        <v>9000</v>
      </c>
    </row>
    <row r="9" spans="2:4" ht="15">
      <c r="B9" s="33" t="s">
        <v>37</v>
      </c>
      <c r="D9" s="33">
        <v>35649.91</v>
      </c>
    </row>
    <row r="10" spans="2:4" ht="15">
      <c r="B10" s="33" t="s">
        <v>39</v>
      </c>
      <c r="D10" s="33">
        <v>230021.96</v>
      </c>
    </row>
    <row r="11" spans="2:4" ht="15">
      <c r="B11" s="33" t="s">
        <v>40</v>
      </c>
      <c r="D11" s="33">
        <v>9330.17</v>
      </c>
    </row>
    <row r="12" spans="2:4" ht="15">
      <c r="B12" s="33" t="s">
        <v>38</v>
      </c>
      <c r="D12" s="33">
        <v>2296.95</v>
      </c>
    </row>
    <row r="13" ht="15">
      <c r="E13" s="32">
        <f>SUM(D7:D12)</f>
        <v>295267.48</v>
      </c>
    </row>
    <row r="15" spans="1:4" ht="15">
      <c r="A15" s="30" t="s">
        <v>25</v>
      </c>
      <c r="D15" s="33">
        <v>93576.49</v>
      </c>
    </row>
    <row r="16" ht="15">
      <c r="E16" s="32">
        <f>D15</f>
        <v>93576.49</v>
      </c>
    </row>
    <row r="17" spans="1:6" ht="15.75" thickBot="1">
      <c r="A17" s="30" t="s">
        <v>26</v>
      </c>
      <c r="F17" s="34">
        <f>E13+E16</f>
        <v>388843.97</v>
      </c>
    </row>
    <row r="18" ht="15.75" thickTop="1"/>
  </sheetData>
  <sheetProtection/>
  <printOptions/>
  <pageMargins left="0.7" right="0.7" top="0.75" bottom="0.75" header="0.3" footer="0.3"/>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Miranda</cp:lastModifiedBy>
  <cp:lastPrinted>2020-03-19T12:45:09Z</cp:lastPrinted>
  <dcterms:created xsi:type="dcterms:W3CDTF">2012-07-11T10:01:28Z</dcterms:created>
  <dcterms:modified xsi:type="dcterms:W3CDTF">2023-05-16T07:54:12Z</dcterms:modified>
  <cp:category/>
  <cp:version/>
  <cp:contentType/>
  <cp:contentStatus/>
</cp:coreProperties>
</file>